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概算汇总表" sheetId="3" r:id="rId1"/>
  </sheets>
  <definedNames>
    <definedName name="_xlnm.Print_Titles" localSheetId="0">概算汇总表!$1:$4</definedName>
    <definedName name="_xlnm.Print_Area" localSheetId="0">概算汇总表!$A$1:$K$30</definedName>
    <definedName name="_xlnm._FilterDatabase" localSheetId="0" hidden="1">概算汇总表!$A$1:$K$33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<sst xmlns="http://schemas.openxmlformats.org/spreadsheetml/2006/main" count="61" uniqueCount="56">
  <si>
    <t>初 设 变 更 概 算 汇 总 表</t>
  </si>
  <si>
    <t>项目名称：夏县东风街东延道路工程</t>
  </si>
  <si>
    <t>序号</t>
  </si>
  <si>
    <t>工程或费用名称</t>
  </si>
  <si>
    <t>概 算 价 值 (万元)</t>
  </si>
  <si>
    <t>技术经济指标</t>
  </si>
  <si>
    <t>占建设
投资</t>
  </si>
  <si>
    <t>备注</t>
  </si>
  <si>
    <t>市政工程</t>
  </si>
  <si>
    <t>设备购置</t>
  </si>
  <si>
    <t>其它费用</t>
  </si>
  <si>
    <t>合计</t>
  </si>
  <si>
    <t>单位</t>
  </si>
  <si>
    <t>数量</t>
  </si>
  <si>
    <t>平米造价（元）</t>
  </si>
  <si>
    <t>（一）</t>
  </si>
  <si>
    <t>工程费用</t>
  </si>
  <si>
    <t>道路路槽工程</t>
  </si>
  <si>
    <t>道路工程</t>
  </si>
  <si>
    <t>排水工程</t>
  </si>
  <si>
    <t>给水工程</t>
  </si>
  <si>
    <t>道路照明工程</t>
  </si>
  <si>
    <t>电力工程</t>
  </si>
  <si>
    <t>交通工程</t>
  </si>
  <si>
    <t>绿化工程</t>
  </si>
  <si>
    <t>燃气工程</t>
  </si>
  <si>
    <t>热力工程</t>
  </si>
  <si>
    <t>（二）</t>
  </si>
  <si>
    <t>工程建设其它费用</t>
  </si>
  <si>
    <t>计 费 依 据</t>
  </si>
  <si>
    <t>项目建设管理费</t>
  </si>
  <si>
    <t>财建[2016]504号</t>
  </si>
  <si>
    <t>工程监理费</t>
  </si>
  <si>
    <t>发改价格[2015]299号,结合市场价</t>
  </si>
  <si>
    <t>工程勘察费</t>
  </si>
  <si>
    <t>4</t>
  </si>
  <si>
    <t>工程设计费</t>
  </si>
  <si>
    <t>清单及控制价编制费</t>
  </si>
  <si>
    <t>晋价服字〔2014〕181号，结合市场价</t>
  </si>
  <si>
    <t>招标代理费</t>
  </si>
  <si>
    <t>可研报告编制费</t>
  </si>
  <si>
    <t>场地准备及临时设施
费</t>
  </si>
  <si>
    <t>建安工程费*1.2%，结合市场价</t>
  </si>
  <si>
    <t>工程保险费</t>
  </si>
  <si>
    <t>建质[2005]133号，建安工程费*0.2%</t>
  </si>
  <si>
    <t>水土保持方案编制费</t>
  </si>
  <si>
    <t>参考标准及结合市场价</t>
  </si>
  <si>
    <t>工程质量检测费</t>
  </si>
  <si>
    <t>（三）</t>
  </si>
  <si>
    <t>预备费</t>
  </si>
  <si>
    <t>计费基数</t>
  </si>
  <si>
    <t>基本预备费</t>
  </si>
  <si>
    <t>（（一）+（二））*4%</t>
  </si>
  <si>
    <t>（四）</t>
  </si>
  <si>
    <t>建设总投资</t>
  </si>
  <si>
    <t>（一）+（二）+（三）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</si>
</sst>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sz val="18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name val="楷体"/>
      <charset val="134"/>
    </font>
    <font>
      <sz val="11"/>
      <name val="宋体"/>
      <charset val="134"/>
    </font>
    <font>
      <sz val="10.5"/>
      <name val="黑体"/>
      <charset val="134"/>
    </font>
    <font>
      <sz val="10.5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10" fontId="6" fillId="0" borderId="1" xfId="3" applyNumberFormat="1" applyFont="1" applyFill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3"/>
  <sheetViews>
    <sheetView tabSelected="1" zoomScale="85" zoomScaleNormal="85" zoomScaleSheetLayoutView="70" workbookViewId="0">
      <pane ySplit="5" topLeftCell="A6" activePane="bottomLeft" state="frozen"/>
      <selection/>
      <selection pane="bottomLeft" activeCell="I48" sqref="I48"/>
    </sheetView>
  </sheetViews>
  <sheetFormatPr defaultColWidth="9" defaultRowHeight="14.25"/>
  <cols>
    <col min="1" max="1" width="8.875" style="6" customWidth="1"/>
    <col min="2" max="2" width="25.5833333333333" style="6" customWidth="1"/>
    <col min="3" max="3" width="18.375" style="6" customWidth="1"/>
    <col min="4" max="4" width="14.2666666666667" style="6" customWidth="1"/>
    <col min="5" max="6" width="10.625" style="6" customWidth="1"/>
    <col min="7" max="7" width="6.75" style="6" customWidth="1"/>
    <col min="8" max="9" width="10.625" style="6" customWidth="1"/>
    <col min="10" max="10" width="9.125" style="6" customWidth="1"/>
    <col min="11" max="11" width="9.85" style="7" customWidth="1"/>
    <col min="12" max="14" width="12.625" style="6"/>
    <col min="15" max="15" width="9.16666666666667" style="6"/>
    <col min="16" max="17" width="13.9166666666667" style="6"/>
    <col min="18" max="253" width="9" style="6"/>
    <col min="254" max="16384" width="9" style="1"/>
  </cols>
  <sheetData>
    <row r="1" ht="57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38"/>
    </row>
    <row r="2" s="1" customFormat="1" ht="35" customHeight="1" spans="1:25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="2" customFormat="1" ht="22" customHeight="1" spans="1:11">
      <c r="A3" s="10" t="s">
        <v>2</v>
      </c>
      <c r="B3" s="10" t="s">
        <v>3</v>
      </c>
      <c r="C3" s="10" t="s">
        <v>4</v>
      </c>
      <c r="D3" s="10"/>
      <c r="E3" s="10"/>
      <c r="F3" s="10"/>
      <c r="G3" s="11" t="s">
        <v>5</v>
      </c>
      <c r="H3" s="11"/>
      <c r="I3" s="11"/>
      <c r="J3" s="10" t="s">
        <v>6</v>
      </c>
      <c r="K3" s="10" t="s">
        <v>7</v>
      </c>
    </row>
    <row r="4" s="2" customFormat="1" ht="34" customHeight="1" spans="1:11">
      <c r="A4" s="10"/>
      <c r="B4" s="10"/>
      <c r="C4" s="10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1" t="s">
        <v>13</v>
      </c>
      <c r="I4" s="11" t="s">
        <v>14</v>
      </c>
      <c r="J4" s="10"/>
      <c r="K4" s="10"/>
    </row>
    <row r="5" s="2" customFormat="1" ht="32" customHeight="1" spans="1:11">
      <c r="A5" s="10" t="s">
        <v>15</v>
      </c>
      <c r="B5" s="12" t="s">
        <v>16</v>
      </c>
      <c r="C5" s="13">
        <f>C6+C7+C8+C9+C10+C11+C12+C13+C14+C15</f>
        <v>2295.829373</v>
      </c>
      <c r="D5" s="13"/>
      <c r="E5" s="13"/>
      <c r="F5" s="13">
        <f>C5</f>
        <v>2295.829373</v>
      </c>
      <c r="G5" s="12"/>
      <c r="H5" s="12"/>
      <c r="I5" s="12"/>
      <c r="J5" s="39">
        <f>F5/F30</f>
        <v>0.890290696077143</v>
      </c>
      <c r="K5" s="13"/>
    </row>
    <row r="6" s="2" customFormat="1" ht="32" customHeight="1" spans="1:253">
      <c r="A6" s="14">
        <v>1</v>
      </c>
      <c r="B6" s="15" t="s">
        <v>17</v>
      </c>
      <c r="C6" s="16">
        <f>2174151.3/10000</f>
        <v>217.41513</v>
      </c>
      <c r="D6" s="17"/>
      <c r="E6" s="17"/>
      <c r="F6" s="18">
        <f>C6</f>
        <v>217.41513</v>
      </c>
      <c r="G6" s="16"/>
      <c r="H6" s="16"/>
      <c r="I6" s="16"/>
      <c r="J6" s="40"/>
      <c r="K6" s="3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</row>
    <row r="7" s="3" customFormat="1" ht="32" customHeight="1" spans="1:253">
      <c r="A7" s="14">
        <v>2</v>
      </c>
      <c r="B7" s="15" t="s">
        <v>18</v>
      </c>
      <c r="C7" s="16">
        <f>(9816884.95-2174151.3)/10000</f>
        <v>764.273365</v>
      </c>
      <c r="D7" s="19"/>
      <c r="E7" s="19"/>
      <c r="F7" s="18">
        <f t="shared" ref="F7:F15" si="0">C7</f>
        <v>764.273365</v>
      </c>
      <c r="G7" s="18"/>
      <c r="H7" s="18"/>
      <c r="I7" s="16"/>
      <c r="J7" s="39"/>
      <c r="K7" s="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</row>
    <row r="8" s="3" customFormat="1" ht="32" customHeight="1" spans="1:253">
      <c r="A8" s="14">
        <v>3</v>
      </c>
      <c r="B8" s="15" t="s">
        <v>19</v>
      </c>
      <c r="C8" s="16">
        <f>(4240066.99+1233012.22)/10000</f>
        <v>547.307921</v>
      </c>
      <c r="D8" s="19"/>
      <c r="E8" s="19"/>
      <c r="F8" s="18">
        <f t="shared" si="0"/>
        <v>547.307921</v>
      </c>
      <c r="G8" s="18"/>
      <c r="H8" s="18"/>
      <c r="I8" s="16"/>
      <c r="J8" s="39"/>
      <c r="K8" s="10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</row>
    <row r="9" s="3" customFormat="1" ht="32" customHeight="1" spans="1:253">
      <c r="A9" s="14">
        <v>4</v>
      </c>
      <c r="B9" s="15" t="s">
        <v>20</v>
      </c>
      <c r="C9" s="16">
        <f>(173217.16+52396.7)/10000</f>
        <v>22.561386</v>
      </c>
      <c r="D9" s="19"/>
      <c r="E9" s="19"/>
      <c r="F9" s="18">
        <f t="shared" si="0"/>
        <v>22.561386</v>
      </c>
      <c r="G9" s="18"/>
      <c r="H9" s="18"/>
      <c r="I9" s="16"/>
      <c r="J9" s="39"/>
      <c r="K9" s="10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</row>
    <row r="10" s="3" customFormat="1" ht="32" customHeight="1" spans="1:253">
      <c r="A10" s="14">
        <v>5</v>
      </c>
      <c r="B10" s="15" t="s">
        <v>21</v>
      </c>
      <c r="C10" s="16">
        <f>(228515.23+608735.97)/10000</f>
        <v>83.72512</v>
      </c>
      <c r="D10" s="19"/>
      <c r="E10" s="19"/>
      <c r="F10" s="18">
        <f t="shared" si="0"/>
        <v>83.72512</v>
      </c>
      <c r="G10" s="18"/>
      <c r="H10" s="18"/>
      <c r="I10" s="16"/>
      <c r="J10" s="39"/>
      <c r="K10" s="10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</row>
    <row r="11" s="3" customFormat="1" ht="32" customHeight="1" spans="1:253">
      <c r="A11" s="14">
        <v>6</v>
      </c>
      <c r="B11" s="15" t="s">
        <v>22</v>
      </c>
      <c r="C11" s="16">
        <f>(1149673.75+547452.38)/10000</f>
        <v>169.712613</v>
      </c>
      <c r="D11" s="19"/>
      <c r="E11" s="19"/>
      <c r="F11" s="18">
        <f t="shared" si="0"/>
        <v>169.712613</v>
      </c>
      <c r="G11" s="18"/>
      <c r="H11" s="18"/>
      <c r="I11" s="16"/>
      <c r="J11" s="39"/>
      <c r="K11" s="10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</row>
    <row r="12" s="3" customFormat="1" ht="32" customHeight="1" spans="1:253">
      <c r="A12" s="14">
        <v>7</v>
      </c>
      <c r="B12" s="20" t="s">
        <v>23</v>
      </c>
      <c r="C12" s="16">
        <f>38928.21/10000</f>
        <v>3.892821</v>
      </c>
      <c r="D12" s="19"/>
      <c r="E12" s="19"/>
      <c r="F12" s="18">
        <f t="shared" si="0"/>
        <v>3.892821</v>
      </c>
      <c r="G12" s="18"/>
      <c r="H12" s="18"/>
      <c r="I12" s="16"/>
      <c r="J12" s="39"/>
      <c r="K12" s="10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</row>
    <row r="13" s="3" customFormat="1" ht="32" customHeight="1" spans="1:253">
      <c r="A13" s="14">
        <v>8</v>
      </c>
      <c r="B13" s="20" t="s">
        <v>24</v>
      </c>
      <c r="C13" s="16">
        <f>4615306.09/10000</f>
        <v>461.530609</v>
      </c>
      <c r="D13" s="19"/>
      <c r="E13" s="19"/>
      <c r="F13" s="18">
        <f t="shared" si="0"/>
        <v>461.530609</v>
      </c>
      <c r="G13" s="18"/>
      <c r="H13" s="18"/>
      <c r="I13" s="16"/>
      <c r="J13" s="39"/>
      <c r="K13" s="1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</row>
    <row r="14" s="3" customFormat="1" ht="32" customHeight="1" spans="1:253">
      <c r="A14" s="14">
        <v>9</v>
      </c>
      <c r="B14" s="20" t="s">
        <v>25</v>
      </c>
      <c r="C14" s="16">
        <f>(53663.64+11240.35)/10000</f>
        <v>6.490399</v>
      </c>
      <c r="D14" s="19"/>
      <c r="E14" s="19"/>
      <c r="F14" s="18">
        <f t="shared" si="0"/>
        <v>6.490399</v>
      </c>
      <c r="G14" s="18"/>
      <c r="H14" s="18"/>
      <c r="I14" s="16"/>
      <c r="J14" s="39"/>
      <c r="K14" s="10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</row>
    <row r="15" s="3" customFormat="1" ht="32" customHeight="1" spans="1:253">
      <c r="A15" s="14">
        <v>10</v>
      </c>
      <c r="B15" s="21" t="s">
        <v>26</v>
      </c>
      <c r="C15" s="16">
        <f>(87539.84+101660.25)/10000</f>
        <v>18.920009</v>
      </c>
      <c r="D15" s="19"/>
      <c r="E15" s="19"/>
      <c r="F15" s="18">
        <f t="shared" si="0"/>
        <v>18.920009</v>
      </c>
      <c r="G15" s="18"/>
      <c r="H15" s="18"/>
      <c r="I15" s="16"/>
      <c r="J15" s="39"/>
      <c r="K15" s="10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</row>
    <row r="16" s="2" customFormat="1" ht="32" customHeight="1" spans="1:11">
      <c r="A16" s="10" t="s">
        <v>27</v>
      </c>
      <c r="B16" s="11" t="s">
        <v>28</v>
      </c>
      <c r="C16" s="10" t="s">
        <v>29</v>
      </c>
      <c r="D16" s="10"/>
      <c r="E16" s="22">
        <f>E17+E18+E19+E20+E21+E22+E23+E24+E25+E26+E27</f>
        <v>183.72955420904</v>
      </c>
      <c r="F16" s="22">
        <f>E16</f>
        <v>183.72955420904</v>
      </c>
      <c r="G16" s="22"/>
      <c r="H16" s="22"/>
      <c r="I16" s="22"/>
      <c r="J16" s="39">
        <f>F16/F30</f>
        <v>0.0712477654613183</v>
      </c>
      <c r="K16" s="10"/>
    </row>
    <row r="17" s="4" customFormat="1" ht="32" customHeight="1" spans="1:253">
      <c r="A17" s="23">
        <v>1</v>
      </c>
      <c r="B17" s="24" t="s">
        <v>30</v>
      </c>
      <c r="C17" s="25" t="s">
        <v>31</v>
      </c>
      <c r="D17" s="25"/>
      <c r="E17" s="26">
        <f>(20+(F5-1000)*1.5%)*0.6</f>
        <v>23.662464357</v>
      </c>
      <c r="F17" s="26">
        <f>E17</f>
        <v>23.662464357</v>
      </c>
      <c r="G17" s="26"/>
      <c r="H17" s="26"/>
      <c r="I17" s="26"/>
      <c r="J17" s="18"/>
      <c r="K17" s="3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="4" customFormat="1" ht="32" customHeight="1" spans="1:253">
      <c r="A18" s="23">
        <v>2</v>
      </c>
      <c r="B18" s="16" t="s">
        <v>32</v>
      </c>
      <c r="C18" s="27" t="s">
        <v>33</v>
      </c>
      <c r="D18" s="28"/>
      <c r="E18" s="26">
        <f>(30.1+(78.1-30.1)/2000*(F5-1000))*0.52</f>
        <v>31.82395057504</v>
      </c>
      <c r="F18" s="26">
        <f>E18</f>
        <v>31.82395057504</v>
      </c>
      <c r="G18" s="26"/>
      <c r="H18" s="26"/>
      <c r="I18" s="26"/>
      <c r="J18" s="18"/>
      <c r="K18" s="3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="4" customFormat="1" ht="32" customHeight="1" spans="1:253">
      <c r="A19" s="23">
        <v>3</v>
      </c>
      <c r="B19" s="16" t="s">
        <v>34</v>
      </c>
      <c r="C19" s="18" t="s">
        <v>33</v>
      </c>
      <c r="D19" s="18"/>
      <c r="E19" s="24">
        <f>F5*0.5%</f>
        <v>11.479146865</v>
      </c>
      <c r="F19" s="26">
        <f t="shared" ref="F19:F29" si="1">E19</f>
        <v>11.479146865</v>
      </c>
      <c r="G19" s="26"/>
      <c r="H19" s="26"/>
      <c r="I19" s="26"/>
      <c r="J19" s="18"/>
      <c r="K19" s="4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="4" customFormat="1" ht="32" customHeight="1" spans="1:253">
      <c r="A20" s="29" t="s">
        <v>35</v>
      </c>
      <c r="B20" s="16" t="s">
        <v>36</v>
      </c>
      <c r="C20" s="18" t="s">
        <v>33</v>
      </c>
      <c r="D20" s="18"/>
      <c r="E20" s="26">
        <f>(38.8+(103.8-38.8)/2000*(F5-1000))*0.75</f>
        <v>60.685840966875</v>
      </c>
      <c r="F20" s="26">
        <f t="shared" si="1"/>
        <v>60.685840966875</v>
      </c>
      <c r="G20" s="26"/>
      <c r="H20" s="26"/>
      <c r="I20" s="26"/>
      <c r="J20" s="18"/>
      <c r="K20" s="4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="4" customFormat="1" ht="32" customHeight="1" spans="1:253">
      <c r="A21" s="23">
        <v>5</v>
      </c>
      <c r="B21" s="24" t="s">
        <v>37</v>
      </c>
      <c r="C21" s="27" t="s">
        <v>38</v>
      </c>
      <c r="D21" s="28"/>
      <c r="E21" s="26">
        <f>(500*0.55%+1500*0.46%+(F5-2000)*0.37%)*0.75</f>
        <v>8.058426510075</v>
      </c>
      <c r="F21" s="26">
        <f t="shared" si="1"/>
        <v>8.058426510075</v>
      </c>
      <c r="G21" s="26"/>
      <c r="H21" s="26"/>
      <c r="I21" s="26"/>
      <c r="J21" s="18"/>
      <c r="K21" s="4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="4" customFormat="1" ht="32" customHeight="1" spans="1:253">
      <c r="A22" s="23">
        <v>6</v>
      </c>
      <c r="B22" s="16" t="s">
        <v>39</v>
      </c>
      <c r="C22" s="18" t="s">
        <v>33</v>
      </c>
      <c r="D22" s="18"/>
      <c r="E22" s="26">
        <f>(1+2.8+2.75+(F5-1000)*0.35%)*0.7</f>
        <v>7.75978196385</v>
      </c>
      <c r="F22" s="26">
        <f t="shared" si="1"/>
        <v>7.75978196385</v>
      </c>
      <c r="G22" s="26"/>
      <c r="H22" s="26"/>
      <c r="I22" s="26"/>
      <c r="J22" s="18"/>
      <c r="K22" s="4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="4" customFormat="1" ht="32" customHeight="1" spans="1:253">
      <c r="A23" s="23">
        <v>7</v>
      </c>
      <c r="B23" s="24" t="s">
        <v>40</v>
      </c>
      <c r="C23" s="18" t="s">
        <v>33</v>
      </c>
      <c r="D23" s="18"/>
      <c r="E23" s="26">
        <f>(5+(12-5)/(3000-1000)*(F5-1000))*0.8</f>
        <v>7.6283222444</v>
      </c>
      <c r="F23" s="26">
        <f t="shared" si="1"/>
        <v>7.6283222444</v>
      </c>
      <c r="G23" s="26"/>
      <c r="H23" s="26"/>
      <c r="I23" s="26"/>
      <c r="J23" s="18"/>
      <c r="K23" s="3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="4" customFormat="1" ht="32" customHeight="1" spans="1:253">
      <c r="A24" s="23">
        <v>8</v>
      </c>
      <c r="B24" s="24" t="s">
        <v>41</v>
      </c>
      <c r="C24" s="27" t="s">
        <v>42</v>
      </c>
      <c r="D24" s="28"/>
      <c r="E24" s="26">
        <f>(F5*1.2%)*0.8</f>
        <v>22.0399619808</v>
      </c>
      <c r="F24" s="26">
        <f t="shared" si="1"/>
        <v>22.0399619808</v>
      </c>
      <c r="G24" s="26"/>
      <c r="H24" s="26"/>
      <c r="I24" s="26"/>
      <c r="J24" s="18"/>
      <c r="K24" s="4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="4" customFormat="1" ht="32" customHeight="1" spans="1:253">
      <c r="A25" s="23">
        <v>9</v>
      </c>
      <c r="B25" s="24" t="s">
        <v>43</v>
      </c>
      <c r="C25" s="18" t="s">
        <v>44</v>
      </c>
      <c r="D25" s="18"/>
      <c r="E25" s="17">
        <f>F5*0.2%</f>
        <v>4.591658746</v>
      </c>
      <c r="F25" s="26">
        <f t="shared" si="1"/>
        <v>4.591658746</v>
      </c>
      <c r="G25" s="26"/>
      <c r="H25" s="26"/>
      <c r="I25" s="26"/>
      <c r="J25" s="18"/>
      <c r="K25" s="42"/>
      <c r="L25" s="2"/>
      <c r="M25" s="43"/>
      <c r="N25" s="43"/>
      <c r="O25" s="4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="2" customFormat="1" ht="32" customHeight="1" spans="1:11">
      <c r="A26" s="30">
        <v>10</v>
      </c>
      <c r="B26" s="30" t="s">
        <v>45</v>
      </c>
      <c r="C26" s="31" t="s">
        <v>46</v>
      </c>
      <c r="D26" s="32"/>
      <c r="E26" s="33">
        <v>3</v>
      </c>
      <c r="F26" s="18">
        <f t="shared" si="1"/>
        <v>3</v>
      </c>
      <c r="G26" s="18"/>
      <c r="H26" s="18"/>
      <c r="I26" s="18"/>
      <c r="J26" s="40"/>
      <c r="K26" s="30"/>
    </row>
    <row r="27" s="2" customFormat="1" ht="32" customHeight="1" spans="1:11">
      <c r="A27" s="30">
        <v>11</v>
      </c>
      <c r="B27" s="30" t="s">
        <v>47</v>
      </c>
      <c r="C27" s="27" t="s">
        <v>46</v>
      </c>
      <c r="D27" s="34"/>
      <c r="E27" s="18">
        <v>3</v>
      </c>
      <c r="F27" s="18">
        <f t="shared" si="1"/>
        <v>3</v>
      </c>
      <c r="G27" s="18"/>
      <c r="H27" s="18"/>
      <c r="I27" s="18"/>
      <c r="J27" s="40"/>
      <c r="K27" s="30"/>
    </row>
    <row r="28" s="2" customFormat="1" ht="32" customHeight="1" spans="1:11">
      <c r="A28" s="10" t="s">
        <v>48</v>
      </c>
      <c r="B28" s="10" t="s">
        <v>49</v>
      </c>
      <c r="C28" s="10" t="s">
        <v>50</v>
      </c>
      <c r="D28" s="10"/>
      <c r="E28" s="13">
        <f>E29</f>
        <v>99.1823570883616</v>
      </c>
      <c r="F28" s="13">
        <f t="shared" si="1"/>
        <v>99.1823570883616</v>
      </c>
      <c r="G28" s="13"/>
      <c r="H28" s="13"/>
      <c r="I28" s="13"/>
      <c r="J28" s="39">
        <f>F28/F30</f>
        <v>0.0384615384615385</v>
      </c>
      <c r="K28" s="30"/>
    </row>
    <row r="29" s="5" customFormat="1" ht="32" customHeight="1" spans="1:11">
      <c r="A29" s="30">
        <v>1</v>
      </c>
      <c r="B29" s="30" t="s">
        <v>51</v>
      </c>
      <c r="C29" s="30" t="s">
        <v>52</v>
      </c>
      <c r="D29" s="30"/>
      <c r="E29" s="18">
        <f>(F5+F16)*4/100</f>
        <v>99.1823570883616</v>
      </c>
      <c r="F29" s="18">
        <f t="shared" si="1"/>
        <v>99.1823570883616</v>
      </c>
      <c r="G29" s="18"/>
      <c r="H29" s="18"/>
      <c r="I29" s="18"/>
      <c r="J29" s="18"/>
      <c r="K29" s="30"/>
    </row>
    <row r="30" s="2" customFormat="1" ht="32" customHeight="1" spans="1:11">
      <c r="A30" s="10" t="s">
        <v>53</v>
      </c>
      <c r="B30" s="10" t="s">
        <v>54</v>
      </c>
      <c r="C30" s="13" t="s">
        <v>55</v>
      </c>
      <c r="D30" s="13"/>
      <c r="E30" s="13"/>
      <c r="F30" s="13">
        <f>F5+F16+F28</f>
        <v>2578.7412842974</v>
      </c>
      <c r="G30" s="13"/>
      <c r="H30" s="13"/>
      <c r="I30" s="13"/>
      <c r="J30" s="39">
        <f>F30/F30</f>
        <v>1</v>
      </c>
      <c r="K30" s="13"/>
    </row>
    <row r="31" ht="21" customHeight="1" spans="1:11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44"/>
    </row>
    <row r="32" ht="11" customHeight="1" spans="1:1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45"/>
    </row>
    <row r="33" ht="11" customHeight="1" spans="1:1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45"/>
    </row>
  </sheetData>
  <mergeCells count="24">
    <mergeCell ref="A1:K1"/>
    <mergeCell ref="A2:K2"/>
    <mergeCell ref="C3:F3"/>
    <mergeCell ref="G3:I3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M25:O25"/>
    <mergeCell ref="C26:D26"/>
    <mergeCell ref="C27:D27"/>
    <mergeCell ref="C28:D28"/>
    <mergeCell ref="C29:D29"/>
    <mergeCell ref="C30:D30"/>
    <mergeCell ref="A3:A4"/>
    <mergeCell ref="B3:B4"/>
    <mergeCell ref="J3:J4"/>
    <mergeCell ref="K3:K4"/>
  </mergeCells>
  <printOptions horizontalCentered="1"/>
  <pageMargins left="0.200694444444444" right="0.200694444444444" top="0.590277777777778" bottom="0.590277777777778" header="0.279166666666667" footer="0.5"/>
  <pageSetup paperSize="9" scale="65" orientation="portrait" horizontalDpi="600" verticalDpi="600"/>
  <headerFooter alignWithMargins="0">
    <oddFooter>&amp;C&amp;P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beeca</dc:creator>
  <cp:lastModifiedBy>浮生物语</cp:lastModifiedBy>
  <dcterms:created xsi:type="dcterms:W3CDTF">2021-06-17T03:01:00Z</dcterms:created>
  <dcterms:modified xsi:type="dcterms:W3CDTF">2025-06-05T07:59:48Z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E3699980B8F4407D89885F4D6A65C2BD_13</vt:lpwstr>
  </property>
</Properties>
</file>