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0600"/>
  </bookViews>
  <sheets>
    <sheet name="概算汇总表" sheetId="3" r:id="rId1"/>
    <sheet name="对比表" sheetId="4" r:id="rId2"/>
  </sheets>
  <definedNames>
    <definedName name="_xlnm.Print_Titles" localSheetId="0">概算汇总表!$1:$4</definedName>
    <definedName name="_xlnm.Print_Area" localSheetId="0">概算汇总表!$A$1:$J$29</definedName>
    <definedName name="_xlnm._FilterDatabase" localSheetId="0" hidden="1">概算汇总表!$A$1:$J$32</definedName>
    <definedName name="_xlnm.Print_Area" localSheetId="1">对比表!$A$1:$F$29</definedName>
    <definedName name="_xlnm.Print_Titles" localSheetId="1">对比表!$1:$4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<sst xmlns="http://schemas.openxmlformats.org/spreadsheetml/2006/main" count="103" uniqueCount="66">
  <si>
    <t>概 算 汇 总 表</t>
  </si>
  <si>
    <t>项目名称：夏县县城排水管网建设工程（卫夫人街、新建路北延、新城横二街）</t>
  </si>
  <si>
    <t>序号</t>
  </si>
  <si>
    <t>工程或费用名称</t>
  </si>
  <si>
    <t>概 算 价 值 (万元)</t>
  </si>
  <si>
    <t>技术经济指标</t>
  </si>
  <si>
    <t>占建设
投资</t>
  </si>
  <si>
    <t>备注</t>
  </si>
  <si>
    <t>市政工程</t>
  </si>
  <si>
    <t>其它</t>
  </si>
  <si>
    <t>合计</t>
  </si>
  <si>
    <t>单位</t>
  </si>
  <si>
    <t>数量</t>
  </si>
  <si>
    <t>平米造价（元）</t>
  </si>
  <si>
    <t>一</t>
  </si>
  <si>
    <t>工程费用</t>
  </si>
  <si>
    <t>卫夫人街</t>
  </si>
  <si>
    <t>排水部分</t>
  </si>
  <si>
    <t>m</t>
  </si>
  <si>
    <t>路面拆除及恢复</t>
  </si>
  <si>
    <t>㎡</t>
  </si>
  <si>
    <t>新建路北延</t>
  </si>
  <si>
    <t>新城横二街</t>
  </si>
  <si>
    <t>二</t>
  </si>
  <si>
    <t>工程建设其它费用</t>
  </si>
  <si>
    <t>计 费 依 据</t>
  </si>
  <si>
    <t>建设单位管理费</t>
  </si>
  <si>
    <t>财建[2016]504号，*0.5</t>
  </si>
  <si>
    <t>招标代理费</t>
  </si>
  <si>
    <t>计价格〔2002〕1980号，*0.9</t>
  </si>
  <si>
    <t>工程监理费</t>
  </si>
  <si>
    <t>晋建监协[2018]9号，*0.85</t>
  </si>
  <si>
    <t>工程设计费</t>
  </si>
  <si>
    <t>计价格[2002]10号，</t>
  </si>
  <si>
    <t>工程勘察费</t>
  </si>
  <si>
    <t>建安工程费*0.8%，</t>
  </si>
  <si>
    <t>工程量清单及控制价编制费</t>
  </si>
  <si>
    <t>晋建价协字〔2014〕8号，</t>
  </si>
  <si>
    <t>可研究报告编制费</t>
  </si>
  <si>
    <t>晋价房字〔2000〕17号，</t>
  </si>
  <si>
    <t>场地准备及临时设施费</t>
  </si>
  <si>
    <t>建安工程费*1.2%，*0.5</t>
  </si>
  <si>
    <t>工程保险费</t>
  </si>
  <si>
    <t>建质〔2005〕133号，建安工程费*0.3%</t>
  </si>
  <si>
    <t>建设工程质量检测费</t>
  </si>
  <si>
    <t>按市场价</t>
  </si>
  <si>
    <t>水土保持编制方案</t>
  </si>
  <si>
    <t>（三）</t>
  </si>
  <si>
    <t>预备费</t>
  </si>
  <si>
    <t>计费基数</t>
  </si>
  <si>
    <t>基本预备费</t>
  </si>
  <si>
    <t>（（一）+（二））*5%</t>
  </si>
  <si>
    <t>（四）</t>
  </si>
  <si>
    <t>建设总投资</t>
  </si>
  <si>
    <t>（一）+（二）+（三）</t>
  </si>
  <si>
    <t>初 设 与 可 研 对 比 表</t>
  </si>
  <si>
    <t>项目名称:夏县县城排水管网建设工程（卫夫人街、新建路北延、新城横二街）</t>
  </si>
  <si>
    <t>工程、费用名称</t>
  </si>
  <si>
    <t>估算阶段</t>
  </si>
  <si>
    <t>概算阶段</t>
  </si>
  <si>
    <t>概算较可研高
（万元）</t>
  </si>
  <si>
    <t>合计
（万元）</t>
  </si>
  <si>
    <t>项目建设单位管理费</t>
  </si>
  <si>
    <t>可研报告编制</t>
  </si>
  <si>
    <t>三</t>
  </si>
  <si>
    <t>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</si>
</sst>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9">
    <font>
      <sz val="12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b/>
      <sz val="10.5"/>
      <name val="宋体"/>
      <charset val="134"/>
    </font>
    <font>
      <sz val="10"/>
      <name val="宋体"/>
      <charset val="134"/>
    </font>
    <font>
      <sz val="20"/>
      <name val="黑体"/>
      <charset val="134"/>
    </font>
    <font>
      <sz val="10"/>
      <name val="黑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b/>
      <sz val="11"/>
      <color rgb="FF000000"/>
      <name val="宋体"/>
      <charset val="134"/>
    </font>
    <font>
      <sz val="11"/>
      <name val="楷体"/>
      <charset val="134"/>
    </font>
    <font>
      <sz val="10"/>
      <name val="楷体"/>
      <charset val="134"/>
    </font>
    <font>
      <sz val="18"/>
      <name val="黑体"/>
      <charset val="134"/>
    </font>
    <font>
      <b/>
      <sz val="12"/>
      <name val="宋体"/>
      <charset val="134"/>
      <scheme val="minor"/>
    </font>
    <font>
      <sz val="10.5"/>
      <name val="黑体"/>
      <charset val="134"/>
    </font>
    <font>
      <sz val="10.5"/>
      <name val="楷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2" borderId="3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6" applyNumberFormat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Fill="1">
      <alignment vertical="center"/>
    </xf>
    <xf numFmtId="176" fontId="4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9" fillId="0" borderId="2" xfId="3" applyNumberFormat="1" applyFont="1" applyFill="1" applyBorder="1" applyAlignment="1">
      <alignment horizontal="left" vertical="center" wrapText="1"/>
    </xf>
    <xf numFmtId="0" fontId="2" fillId="0" borderId="0" xfId="0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/>
    </xf>
    <xf numFmtId="176" fontId="12" fillId="0" borderId="1" xfId="0" applyNumberFormat="1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176" fontId="14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10" fontId="7" fillId="0" borderId="1" xfId="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32"/>
  <sheetViews>
    <sheetView tabSelected="1" zoomScaleSheetLayoutView="85" workbookViewId="0">
      <pane ySplit="5" topLeftCell="A6" activePane="bottomLeft" state="frozen"/>
      <selection/>
      <selection pane="bottomLeft" activeCell="G14" sqref="G14"/>
    </sheetView>
  </sheetViews>
  <sheetFormatPr defaultColWidth="9" defaultRowHeight="15"/>
  <cols>
    <col min="1" max="1" width="6.58333333333333" style="4" customWidth="1"/>
    <col min="2" max="2" width="18.9166666666667" style="4" customWidth="1"/>
    <col min="3" max="3" width="18.0833333333333" style="4" customWidth="1"/>
    <col min="4" max="4" width="9.66666666666667" style="4" customWidth="1"/>
    <col min="5" max="5" width="10" style="4" customWidth="1"/>
    <col min="6" max="6" width="5.83333333333333" style="4" customWidth="1"/>
    <col min="7" max="7" width="8.91666666666667" style="4" customWidth="1"/>
    <col min="8" max="8" width="9.08333333333333" style="4" customWidth="1"/>
    <col min="9" max="9" width="9.125" style="4" customWidth="1"/>
    <col min="10" max="10" width="6.25" style="16" customWidth="1"/>
    <col min="11" max="13" width="12.625" style="4"/>
    <col min="14" max="14" width="10.6666666666667" style="4"/>
    <col min="15" max="252" width="9" style="4"/>
    <col min="253" max="16384" width="9" style="35"/>
  </cols>
  <sheetData>
    <row r="1" ht="45" customHeight="1" spans="1:10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45"/>
    </row>
    <row r="2" s="35" customFormat="1" ht="28" customHeight="1" spans="1:252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="36" customFormat="1" ht="18" customHeight="1" spans="1:10">
      <c r="A3" s="41" t="s">
        <v>2</v>
      </c>
      <c r="B3" s="41" t="s">
        <v>3</v>
      </c>
      <c r="C3" s="41" t="s">
        <v>4</v>
      </c>
      <c r="D3" s="41"/>
      <c r="E3" s="41"/>
      <c r="F3" s="10" t="s">
        <v>5</v>
      </c>
      <c r="G3" s="10"/>
      <c r="H3" s="10"/>
      <c r="I3" s="41" t="s">
        <v>6</v>
      </c>
      <c r="J3" s="41" t="s">
        <v>7</v>
      </c>
    </row>
    <row r="4" s="36" customFormat="1" ht="34" customHeight="1" spans="1:10">
      <c r="A4" s="41"/>
      <c r="B4" s="41"/>
      <c r="C4" s="41" t="s">
        <v>8</v>
      </c>
      <c r="D4" s="41" t="s">
        <v>9</v>
      </c>
      <c r="E4" s="41" t="s">
        <v>10</v>
      </c>
      <c r="F4" s="10" t="s">
        <v>11</v>
      </c>
      <c r="G4" s="10" t="s">
        <v>12</v>
      </c>
      <c r="H4" s="10" t="s">
        <v>13</v>
      </c>
      <c r="I4" s="41"/>
      <c r="J4" s="41"/>
    </row>
    <row r="5" s="36" customFormat="1" ht="22" customHeight="1" spans="1:10">
      <c r="A5" s="41" t="s">
        <v>14</v>
      </c>
      <c r="B5" s="41" t="s">
        <v>15</v>
      </c>
      <c r="C5" s="17">
        <f>C6+C9+C12</f>
        <v>2624.007599</v>
      </c>
      <c r="D5" s="17">
        <v>0</v>
      </c>
      <c r="E5" s="17">
        <f>C5</f>
        <v>2624.007599</v>
      </c>
      <c r="F5" s="11"/>
      <c r="G5" s="11"/>
      <c r="H5" s="11"/>
      <c r="I5" s="46">
        <f>E5/E29</f>
        <v>0.857744227936927</v>
      </c>
      <c r="J5" s="17"/>
    </row>
    <row r="6" s="37" customFormat="1" ht="22" customHeight="1" spans="1:10">
      <c r="A6" s="10">
        <v>1</v>
      </c>
      <c r="B6" s="10" t="s">
        <v>16</v>
      </c>
      <c r="C6" s="28">
        <f>C7+C8</f>
        <v>1598.258753</v>
      </c>
      <c r="D6" s="17"/>
      <c r="E6" s="17">
        <f t="shared" ref="E6:E14" si="0">SUM(C6:D6)</f>
        <v>1598.258753</v>
      </c>
      <c r="F6" s="10"/>
      <c r="G6" s="11"/>
      <c r="H6" s="11"/>
      <c r="I6" s="46"/>
      <c r="J6" s="41"/>
    </row>
    <row r="7" s="36" customFormat="1" ht="22" customHeight="1" spans="1:10">
      <c r="A7" s="20">
        <v>1.1</v>
      </c>
      <c r="B7" s="21" t="s">
        <v>17</v>
      </c>
      <c r="C7" s="25">
        <f>(11862238.96+4120348.57)/10000-C8</f>
        <v>1299.032835</v>
      </c>
      <c r="D7" s="28"/>
      <c r="E7" s="22">
        <f t="shared" si="0"/>
        <v>1299.032835</v>
      </c>
      <c r="F7" s="25" t="s">
        <v>18</v>
      </c>
      <c r="G7" s="25">
        <f>4555+2922</f>
        <v>7477</v>
      </c>
      <c r="H7" s="25">
        <f>E7*10000/G7</f>
        <v>1737.37171994115</v>
      </c>
      <c r="I7" s="46"/>
      <c r="J7" s="41"/>
    </row>
    <row r="8" s="36" customFormat="1" ht="22" customHeight="1" spans="1:10">
      <c r="A8" s="20">
        <v>1.2</v>
      </c>
      <c r="B8" s="21" t="s">
        <v>19</v>
      </c>
      <c r="C8" s="25">
        <f>(2488424.01+503835.17)/10000</f>
        <v>299.225918</v>
      </c>
      <c r="D8" s="28"/>
      <c r="E8" s="22">
        <f t="shared" si="0"/>
        <v>299.225918</v>
      </c>
      <c r="F8" s="25" t="s">
        <v>20</v>
      </c>
      <c r="G8" s="25">
        <f>7171+1475.8</f>
        <v>8646.8</v>
      </c>
      <c r="H8" s="25">
        <f>E8*10000/G8</f>
        <v>346.053936716473</v>
      </c>
      <c r="I8" s="46"/>
      <c r="J8" s="41"/>
    </row>
    <row r="9" s="37" customFormat="1" ht="22" customHeight="1" spans="1:10">
      <c r="A9" s="10">
        <v>2</v>
      </c>
      <c r="B9" s="10" t="s">
        <v>21</v>
      </c>
      <c r="C9" s="28">
        <f>C10+C11</f>
        <v>387.066989</v>
      </c>
      <c r="D9" s="17"/>
      <c r="E9" s="17">
        <f t="shared" si="0"/>
        <v>387.066989</v>
      </c>
      <c r="F9" s="20"/>
      <c r="G9" s="23"/>
      <c r="H9" s="25"/>
      <c r="I9" s="46"/>
      <c r="J9" s="41"/>
    </row>
    <row r="10" s="36" customFormat="1" ht="22" customHeight="1" spans="1:10">
      <c r="A10" s="20">
        <v>2.1</v>
      </c>
      <c r="B10" s="21" t="s">
        <v>17</v>
      </c>
      <c r="C10" s="25">
        <f>(1732949.47+2137720.42)/10000-C11</f>
        <v>333.919777</v>
      </c>
      <c r="D10" s="28"/>
      <c r="E10" s="22">
        <f t="shared" si="0"/>
        <v>333.919777</v>
      </c>
      <c r="F10" s="25" t="s">
        <v>18</v>
      </c>
      <c r="G10" s="25">
        <f>1488+1468</f>
        <v>2956</v>
      </c>
      <c r="H10" s="25">
        <f>E10*10000/G10</f>
        <v>1129.63388700947</v>
      </c>
      <c r="I10" s="46"/>
      <c r="J10" s="41"/>
    </row>
    <row r="11" s="36" customFormat="1" ht="22" customHeight="1" spans="1:10">
      <c r="A11" s="20">
        <v>2.2</v>
      </c>
      <c r="B11" s="21" t="s">
        <v>19</v>
      </c>
      <c r="C11" s="25">
        <f>(268333.53+263138.59)/10000</f>
        <v>53.147212</v>
      </c>
      <c r="D11" s="28"/>
      <c r="E11" s="22">
        <f t="shared" si="0"/>
        <v>53.147212</v>
      </c>
      <c r="F11" s="25" t="s">
        <v>20</v>
      </c>
      <c r="G11" s="25">
        <f>746.2+772.1</f>
        <v>1518.3</v>
      </c>
      <c r="H11" s="25">
        <f>E11*10000/G11</f>
        <v>350.044207337153</v>
      </c>
      <c r="I11" s="46"/>
      <c r="J11" s="41"/>
    </row>
    <row r="12" s="37" customFormat="1" ht="22" customHeight="1" spans="1:10">
      <c r="A12" s="10">
        <v>3</v>
      </c>
      <c r="B12" s="10" t="s">
        <v>22</v>
      </c>
      <c r="C12" s="28">
        <f>C13+C14</f>
        <v>638.681857</v>
      </c>
      <c r="D12" s="17"/>
      <c r="E12" s="17">
        <f t="shared" si="0"/>
        <v>638.681857</v>
      </c>
      <c r="F12" s="20"/>
      <c r="G12" s="23"/>
      <c r="H12" s="25"/>
      <c r="I12" s="46"/>
      <c r="J12" s="41"/>
    </row>
    <row r="13" s="36" customFormat="1" ht="22" customHeight="1" spans="1:10">
      <c r="A13" s="20">
        <v>3.1</v>
      </c>
      <c r="B13" s="21" t="s">
        <v>17</v>
      </c>
      <c r="C13" s="25">
        <f>(3283082.19+3103736.38)/10000-C14</f>
        <v>614.738634</v>
      </c>
      <c r="D13" s="28"/>
      <c r="E13" s="22">
        <f t="shared" si="0"/>
        <v>614.738634</v>
      </c>
      <c r="F13" s="25" t="s">
        <v>18</v>
      </c>
      <c r="G13" s="25">
        <f>2202.9+2201</f>
        <v>4403.9</v>
      </c>
      <c r="H13" s="25">
        <f>E13*10000/G13</f>
        <v>1395.89598764731</v>
      </c>
      <c r="I13" s="46"/>
      <c r="J13" s="41"/>
    </row>
    <row r="14" s="36" customFormat="1" ht="22" customHeight="1" spans="1:10">
      <c r="A14" s="20">
        <v>3.2</v>
      </c>
      <c r="B14" s="21" t="s">
        <v>19</v>
      </c>
      <c r="C14" s="25">
        <f>(143198.74+96233.49)/10000</f>
        <v>23.943223</v>
      </c>
      <c r="D14" s="28"/>
      <c r="E14" s="22">
        <f t="shared" si="0"/>
        <v>23.943223</v>
      </c>
      <c r="F14" s="25" t="s">
        <v>20</v>
      </c>
      <c r="G14" s="25">
        <f>733.2+518.18</f>
        <v>1251.38</v>
      </c>
      <c r="H14" s="25">
        <f>E14*10000/G14</f>
        <v>191.334550656076</v>
      </c>
      <c r="I14" s="46"/>
      <c r="J14" s="41"/>
    </row>
    <row r="15" s="36" customFormat="1" ht="22" customHeight="1" spans="1:10">
      <c r="A15" s="41" t="s">
        <v>23</v>
      </c>
      <c r="B15" s="41" t="s">
        <v>24</v>
      </c>
      <c r="C15" s="41" t="s">
        <v>25</v>
      </c>
      <c r="D15" s="28">
        <f>D16+D17+D18+D19+D20+D21+D22+D23+D24+D25+D26-0.01</f>
        <v>289.512276500975</v>
      </c>
      <c r="E15" s="28">
        <f t="shared" ref="E15:E28" si="1">D15</f>
        <v>289.512276500975</v>
      </c>
      <c r="F15" s="28"/>
      <c r="G15" s="28"/>
      <c r="H15" s="28"/>
      <c r="I15" s="46">
        <f>E15/E29</f>
        <v>0.0946367244440251</v>
      </c>
      <c r="J15" s="41"/>
    </row>
    <row r="16" s="38" customFormat="1" ht="37" customHeight="1" spans="1:252">
      <c r="A16" s="24">
        <v>1</v>
      </c>
      <c r="B16" s="21" t="s">
        <v>26</v>
      </c>
      <c r="C16" s="23" t="s">
        <v>27</v>
      </c>
      <c r="D16" s="25">
        <f>(20+(E5-1000)*1.5%)*0.5</f>
        <v>22.1800569925</v>
      </c>
      <c r="E16" s="25">
        <f t="shared" si="1"/>
        <v>22.1800569925</v>
      </c>
      <c r="F16" s="25"/>
      <c r="G16" s="25"/>
      <c r="H16" s="25"/>
      <c r="I16" s="22"/>
      <c r="J16" s="44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</row>
    <row r="17" s="38" customFormat="1" ht="37" customHeight="1" spans="1:252">
      <c r="A17" s="24">
        <v>2</v>
      </c>
      <c r="B17" s="42" t="s">
        <v>28</v>
      </c>
      <c r="C17" s="23" t="s">
        <v>29</v>
      </c>
      <c r="D17" s="25">
        <f>(1+2.8+2.75+(E5-1000)*0.35%)*0.9</f>
        <v>11.01062393685</v>
      </c>
      <c r="E17" s="25">
        <f t="shared" si="1"/>
        <v>11.01062393685</v>
      </c>
      <c r="F17" s="25"/>
      <c r="G17" s="25"/>
      <c r="H17" s="25"/>
      <c r="I17" s="22"/>
      <c r="J17" s="47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</row>
    <row r="18" s="38" customFormat="1" ht="37" customHeight="1" spans="1:252">
      <c r="A18" s="24">
        <v>3</v>
      </c>
      <c r="B18" s="20" t="s">
        <v>30</v>
      </c>
      <c r="C18" s="23" t="s">
        <v>31</v>
      </c>
      <c r="D18" s="25">
        <f>(33+(84-33)/2000*(E5-1000))*0.85</f>
        <v>63.250364708325</v>
      </c>
      <c r="E18" s="25">
        <f t="shared" si="1"/>
        <v>63.250364708325</v>
      </c>
      <c r="F18" s="25"/>
      <c r="G18" s="25"/>
      <c r="H18" s="25"/>
      <c r="I18" s="22"/>
      <c r="J18" s="44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</row>
    <row r="19" s="38" customFormat="1" ht="37" customHeight="1" spans="1:252">
      <c r="A19" s="24">
        <v>4</v>
      </c>
      <c r="B19" s="42" t="s">
        <v>32</v>
      </c>
      <c r="C19" s="23" t="s">
        <v>33</v>
      </c>
      <c r="D19" s="25">
        <f>(38.8+(103.8-38.8)/2000*(E5-1000))</f>
        <v>91.5802469675</v>
      </c>
      <c r="E19" s="25">
        <f t="shared" si="1"/>
        <v>91.5802469675</v>
      </c>
      <c r="F19" s="25"/>
      <c r="G19" s="25"/>
      <c r="H19" s="25"/>
      <c r="I19" s="22"/>
      <c r="J19" s="47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</row>
    <row r="20" s="38" customFormat="1" ht="37" customHeight="1" spans="1:252">
      <c r="A20" s="24">
        <v>5</v>
      </c>
      <c r="B20" s="20" t="s">
        <v>34</v>
      </c>
      <c r="C20" s="23" t="s">
        <v>35</v>
      </c>
      <c r="D20" s="25">
        <f>E5*0.8%</f>
        <v>20.992060792</v>
      </c>
      <c r="E20" s="25">
        <f t="shared" si="1"/>
        <v>20.992060792</v>
      </c>
      <c r="F20" s="25"/>
      <c r="G20" s="25"/>
      <c r="H20" s="25"/>
      <c r="I20" s="22"/>
      <c r="J20" s="47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</row>
    <row r="21" s="38" customFormat="1" ht="37" customHeight="1" spans="1:252">
      <c r="A21" s="24">
        <v>6</v>
      </c>
      <c r="B21" s="20" t="s">
        <v>36</v>
      </c>
      <c r="C21" s="23" t="s">
        <v>37</v>
      </c>
      <c r="D21" s="25">
        <f>(500*0.55%+1500*0.46%+(E5-2000)*0.37%)</f>
        <v>11.9588281163</v>
      </c>
      <c r="E21" s="25">
        <f t="shared" si="1"/>
        <v>11.9588281163</v>
      </c>
      <c r="F21" s="25"/>
      <c r="G21" s="25"/>
      <c r="H21" s="25"/>
      <c r="I21" s="22"/>
      <c r="J21" s="47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</row>
    <row r="22" s="36" customFormat="1" ht="37" customHeight="1" spans="1:10">
      <c r="A22" s="24">
        <v>7</v>
      </c>
      <c r="B22" s="42" t="s">
        <v>38</v>
      </c>
      <c r="C22" s="23" t="s">
        <v>39</v>
      </c>
      <c r="D22" s="43">
        <f>(5+(12-5)/(3000-1000)*(E5-1000))</f>
        <v>10.6840265965</v>
      </c>
      <c r="E22" s="25">
        <f t="shared" si="1"/>
        <v>10.6840265965</v>
      </c>
      <c r="F22" s="28"/>
      <c r="G22" s="28"/>
      <c r="H22" s="28"/>
      <c r="I22" s="46"/>
      <c r="J22" s="41"/>
    </row>
    <row r="23" s="38" customFormat="1" ht="37" customHeight="1" spans="1:252">
      <c r="A23" s="24">
        <v>8</v>
      </c>
      <c r="B23" s="20" t="s">
        <v>40</v>
      </c>
      <c r="C23" s="23" t="s">
        <v>41</v>
      </c>
      <c r="D23" s="25">
        <f>E5*1.2%*0.5</f>
        <v>15.744045594</v>
      </c>
      <c r="E23" s="25">
        <f t="shared" si="1"/>
        <v>15.744045594</v>
      </c>
      <c r="F23" s="25"/>
      <c r="G23" s="25"/>
      <c r="H23" s="25"/>
      <c r="I23" s="22"/>
      <c r="J23" s="47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</row>
    <row r="24" s="38" customFormat="1" ht="48" customHeight="1" spans="1:252">
      <c r="A24" s="24">
        <v>9</v>
      </c>
      <c r="B24" s="42" t="s">
        <v>42</v>
      </c>
      <c r="C24" s="23" t="s">
        <v>43</v>
      </c>
      <c r="D24" s="25">
        <f>E5*0.3%</f>
        <v>7.872022797</v>
      </c>
      <c r="E24" s="25">
        <f t="shared" si="1"/>
        <v>7.872022797</v>
      </c>
      <c r="F24" s="25"/>
      <c r="G24" s="25"/>
      <c r="H24" s="25"/>
      <c r="I24" s="22"/>
      <c r="J24" s="47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</row>
    <row r="25" s="38" customFormat="1" ht="37" customHeight="1" spans="1:252">
      <c r="A25" s="24">
        <v>10</v>
      </c>
      <c r="B25" s="20" t="s">
        <v>44</v>
      </c>
      <c r="C25" s="23" t="s">
        <v>45</v>
      </c>
      <c r="D25" s="25">
        <v>25.25</v>
      </c>
      <c r="E25" s="25">
        <f t="shared" si="1"/>
        <v>25.25</v>
      </c>
      <c r="F25" s="25"/>
      <c r="G25" s="25"/>
      <c r="H25" s="25"/>
      <c r="I25" s="22"/>
      <c r="J25" s="47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</row>
    <row r="26" s="38" customFormat="1" ht="37" customHeight="1" spans="1:252">
      <c r="A26" s="24">
        <v>11</v>
      </c>
      <c r="B26" s="20" t="s">
        <v>46</v>
      </c>
      <c r="C26" s="23" t="s">
        <v>45</v>
      </c>
      <c r="D26" s="25">
        <v>9</v>
      </c>
      <c r="E26" s="25">
        <f t="shared" si="1"/>
        <v>9</v>
      </c>
      <c r="F26" s="25"/>
      <c r="G26" s="25"/>
      <c r="H26" s="25"/>
      <c r="I26" s="22"/>
      <c r="J26" s="47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</row>
    <row r="27" s="36" customFormat="1" ht="22" customHeight="1" spans="1:10">
      <c r="A27" s="41" t="s">
        <v>47</v>
      </c>
      <c r="B27" s="41" t="s">
        <v>48</v>
      </c>
      <c r="C27" s="41" t="s">
        <v>49</v>
      </c>
      <c r="D27" s="17">
        <f>D28</f>
        <v>145.675993775049</v>
      </c>
      <c r="E27" s="17">
        <f t="shared" si="1"/>
        <v>145.675993775049</v>
      </c>
      <c r="F27" s="17"/>
      <c r="G27" s="17"/>
      <c r="H27" s="17"/>
      <c r="I27" s="46">
        <f>E27/E29</f>
        <v>0.0476190476190476</v>
      </c>
      <c r="J27" s="44"/>
    </row>
    <row r="28" s="36" customFormat="1" ht="30" customHeight="1" spans="1:10">
      <c r="A28" s="44">
        <v>1</v>
      </c>
      <c r="B28" s="44" t="s">
        <v>50</v>
      </c>
      <c r="C28" s="44" t="s">
        <v>51</v>
      </c>
      <c r="D28" s="22">
        <f>(E5+D15)*0.05</f>
        <v>145.675993775049</v>
      </c>
      <c r="E28" s="22">
        <f t="shared" si="1"/>
        <v>145.675993775049</v>
      </c>
      <c r="F28" s="22"/>
      <c r="G28" s="22"/>
      <c r="H28" s="22"/>
      <c r="I28" s="22"/>
      <c r="J28" s="44"/>
    </row>
    <row r="29" s="36" customFormat="1" ht="30" customHeight="1" spans="1:10">
      <c r="A29" s="41" t="s">
        <v>52</v>
      </c>
      <c r="B29" s="41" t="s">
        <v>53</v>
      </c>
      <c r="C29" s="17" t="s">
        <v>54</v>
      </c>
      <c r="D29" s="17"/>
      <c r="E29" s="17">
        <f>E27+E15+E5</f>
        <v>3059.19586927602</v>
      </c>
      <c r="F29" s="17"/>
      <c r="G29" s="17"/>
      <c r="H29" s="17"/>
      <c r="I29" s="46">
        <f>E29/E29</f>
        <v>1</v>
      </c>
      <c r="J29" s="17"/>
    </row>
    <row r="30" ht="21" customHeight="1" spans="1:10">
      <c r="A30" s="30"/>
      <c r="B30" s="31"/>
      <c r="C30" s="31"/>
      <c r="D30" s="31"/>
      <c r="E30" s="31"/>
      <c r="F30" s="31"/>
      <c r="G30" s="31"/>
      <c r="H30" s="31"/>
      <c r="I30" s="31"/>
      <c r="J30" s="48"/>
    </row>
    <row r="31" ht="11" customHeight="1" spans="1:10">
      <c r="A31" s="33"/>
      <c r="B31" s="33"/>
      <c r="C31" s="33"/>
      <c r="D31" s="33"/>
      <c r="E31" s="33"/>
      <c r="F31" s="33"/>
      <c r="G31" s="33"/>
      <c r="H31" s="33"/>
      <c r="I31" s="33"/>
      <c r="J31" s="49"/>
    </row>
    <row r="32" ht="11" customHeight="1" spans="1:10">
      <c r="A32" s="33"/>
      <c r="B32" s="33"/>
      <c r="C32" s="33"/>
      <c r="D32" s="33"/>
      <c r="E32" s="33"/>
      <c r="F32" s="33"/>
      <c r="G32" s="33"/>
      <c r="H32" s="33"/>
      <c r="I32" s="33"/>
      <c r="J32" s="49"/>
    </row>
  </sheetData>
  <mergeCells count="8">
    <mergeCell ref="A1:J1"/>
    <mergeCell ref="A2:J2"/>
    <mergeCell ref="C3:E3"/>
    <mergeCell ref="F3:H3"/>
    <mergeCell ref="A3:A4"/>
    <mergeCell ref="B3:B4"/>
    <mergeCell ref="I3:I4"/>
    <mergeCell ref="J3:J4"/>
  </mergeCells>
  <printOptions horizontalCentered="1"/>
  <pageMargins left="0.200694444444444" right="0.200694444444444" top="0.236111111111111" bottom="0.472222222222222" header="0.279166666666667" footer="0.5"/>
  <pageSetup paperSize="9" scale="90" orientation="portrait" horizontalDpi="600" verticalDpi="600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32"/>
  <sheetViews>
    <sheetView zoomScaleSheetLayoutView="85" topLeftCell="A18" workbookViewId="0">
      <selection activeCell="D15" sqref="D15"/>
    </sheetView>
  </sheetViews>
  <sheetFormatPr defaultColWidth="9" defaultRowHeight="15"/>
  <cols>
    <col min="1" max="1" width="6.76666666666667" style="4" customWidth="1"/>
    <col min="2" max="2" width="18.6833333333333" style="4" customWidth="1"/>
    <col min="3" max="3" width="12.9166666666667" style="4" customWidth="1"/>
    <col min="4" max="4" width="14.8333333333333" style="4" customWidth="1"/>
    <col min="5" max="5" width="12.9166666666667" style="4" customWidth="1"/>
    <col min="6" max="6" width="13.6416666666667" style="5" customWidth="1"/>
    <col min="7" max="7" width="12" style="4"/>
    <col min="8" max="8" width="13.75" style="4"/>
    <col min="9" max="9" width="11.9166666666667" style="4" customWidth="1"/>
    <col min="10" max="10" width="10.125" style="4"/>
    <col min="11" max="244" width="9" style="4"/>
  </cols>
  <sheetData>
    <row r="1" ht="38" customHeight="1" spans="1:6">
      <c r="A1" s="6" t="s">
        <v>55</v>
      </c>
      <c r="B1" s="6"/>
      <c r="C1" s="6"/>
      <c r="D1" s="6"/>
      <c r="E1" s="6"/>
      <c r="F1" s="7"/>
    </row>
    <row r="2" customFormat="1" ht="24" customHeight="1" spans="1:244">
      <c r="A2" s="8" t="s">
        <v>56</v>
      </c>
      <c r="B2" s="8"/>
      <c r="C2" s="8"/>
      <c r="D2" s="8"/>
      <c r="E2" s="8"/>
      <c r="F2" s="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</row>
    <row r="3" s="1" customFormat="1" ht="20" customHeight="1" spans="1:244">
      <c r="A3" s="10" t="s">
        <v>2</v>
      </c>
      <c r="B3" s="10" t="s">
        <v>57</v>
      </c>
      <c r="C3" s="10" t="s">
        <v>58</v>
      </c>
      <c r="D3" s="10" t="s">
        <v>59</v>
      </c>
      <c r="E3" s="10" t="s">
        <v>60</v>
      </c>
      <c r="F3" s="11" t="s">
        <v>7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</row>
    <row r="4" s="1" customFormat="1" ht="33.95" customHeight="1" spans="1:244">
      <c r="A4" s="10"/>
      <c r="B4" s="10"/>
      <c r="C4" s="10" t="s">
        <v>61</v>
      </c>
      <c r="D4" s="10" t="s">
        <v>61</v>
      </c>
      <c r="E4" s="10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</row>
    <row r="5" s="2" customFormat="1" ht="26" customHeight="1" spans="1:245">
      <c r="A5" s="13" t="s">
        <v>14</v>
      </c>
      <c r="B5" s="13" t="s">
        <v>15</v>
      </c>
      <c r="C5" s="14">
        <f>C6+C9+C12</f>
        <v>2524.83</v>
      </c>
      <c r="D5" s="14">
        <f>概算汇总表!E5</f>
        <v>2624.007599</v>
      </c>
      <c r="E5" s="14">
        <f t="shared" ref="E5:E15" si="0">D5-C5</f>
        <v>99.1775990000001</v>
      </c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</row>
    <row r="6" s="3" customFormat="1" ht="28" customHeight="1" spans="1:244">
      <c r="A6" s="10">
        <v>1</v>
      </c>
      <c r="B6" s="10" t="s">
        <v>16</v>
      </c>
      <c r="C6" s="17">
        <f>C7+C8</f>
        <v>1439.67</v>
      </c>
      <c r="D6" s="17">
        <f>概算汇总表!E6</f>
        <v>1598.258753</v>
      </c>
      <c r="E6" s="11">
        <f t="shared" si="0"/>
        <v>158.588753</v>
      </c>
      <c r="F6" s="18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</row>
    <row r="7" s="2" customFormat="1" ht="32" customHeight="1" spans="1:244">
      <c r="A7" s="20">
        <v>1.1</v>
      </c>
      <c r="B7" s="21" t="s">
        <v>17</v>
      </c>
      <c r="C7" s="22">
        <f>125.37+274.7+170.68+18+64.48+62.7+3.4+240+96.8+46.2+64.9</f>
        <v>1167.23</v>
      </c>
      <c r="D7" s="22">
        <f>概算汇总表!E7</f>
        <v>1299.032835</v>
      </c>
      <c r="E7" s="23">
        <f t="shared" si="0"/>
        <v>131.802835</v>
      </c>
      <c r="F7" s="18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</row>
    <row r="8" s="2" customFormat="1" ht="32" customHeight="1" spans="1:244">
      <c r="A8" s="20">
        <v>1.2</v>
      </c>
      <c r="B8" s="21" t="s">
        <v>19</v>
      </c>
      <c r="C8" s="22">
        <f>261+11.44</f>
        <v>272.44</v>
      </c>
      <c r="D8" s="22">
        <f>概算汇总表!E8</f>
        <v>299.225918</v>
      </c>
      <c r="E8" s="23">
        <f t="shared" si="0"/>
        <v>26.785918</v>
      </c>
      <c r="F8" s="1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</row>
    <row r="9" s="3" customFormat="1" ht="32" customHeight="1" spans="1:244">
      <c r="A9" s="10">
        <v>2</v>
      </c>
      <c r="B9" s="10" t="s">
        <v>21</v>
      </c>
      <c r="C9" s="17">
        <f>C10+C11</f>
        <v>403.73</v>
      </c>
      <c r="D9" s="17">
        <f>概算汇总表!E9</f>
        <v>387.066989</v>
      </c>
      <c r="E9" s="11">
        <f t="shared" si="0"/>
        <v>-16.663011</v>
      </c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</row>
    <row r="10" s="2" customFormat="1" ht="32" customHeight="1" spans="1:244">
      <c r="A10" s="20">
        <v>2.1</v>
      </c>
      <c r="B10" s="21" t="s">
        <v>17</v>
      </c>
      <c r="C10" s="22">
        <f>128.18+59.84+96.13+41.8+60.5</f>
        <v>386.45</v>
      </c>
      <c r="D10" s="22">
        <f>概算汇总表!E10</f>
        <v>333.919777</v>
      </c>
      <c r="E10" s="23">
        <f t="shared" si="0"/>
        <v>-52.530223</v>
      </c>
      <c r="F10" s="18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</row>
    <row r="11" s="2" customFormat="1" ht="32" customHeight="1" spans="1:244">
      <c r="A11" s="20">
        <v>2.2</v>
      </c>
      <c r="B11" s="21" t="s">
        <v>19</v>
      </c>
      <c r="C11" s="22">
        <v>17.28</v>
      </c>
      <c r="D11" s="22">
        <f>概算汇总表!E11</f>
        <v>53.147212</v>
      </c>
      <c r="E11" s="23">
        <f t="shared" si="0"/>
        <v>35.867212</v>
      </c>
      <c r="F11" s="18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</row>
    <row r="12" s="3" customFormat="1" ht="32" customHeight="1" spans="1:244">
      <c r="A12" s="10">
        <v>3</v>
      </c>
      <c r="B12" s="10" t="s">
        <v>22</v>
      </c>
      <c r="C12" s="17">
        <f>C13+C14</f>
        <v>681.43</v>
      </c>
      <c r="D12" s="17">
        <f>概算汇总表!E12</f>
        <v>638.681857</v>
      </c>
      <c r="E12" s="11">
        <f t="shared" si="0"/>
        <v>-42.7481429999999</v>
      </c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</row>
    <row r="13" s="2" customFormat="1" ht="32" customHeight="1" spans="1:244">
      <c r="A13" s="20">
        <v>3.1</v>
      </c>
      <c r="B13" s="21" t="s">
        <v>17</v>
      </c>
      <c r="C13" s="22">
        <f>231.42+5.78+95.68+149.25+71.5+85.8</f>
        <v>639.43</v>
      </c>
      <c r="D13" s="22">
        <f>概算汇总表!E13</f>
        <v>614.738634</v>
      </c>
      <c r="E13" s="23">
        <f t="shared" si="0"/>
        <v>-24.6913659999999</v>
      </c>
      <c r="F13" s="18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</row>
    <row r="14" s="2" customFormat="1" ht="32" customHeight="1" spans="1:244">
      <c r="A14" s="20">
        <v>3.2</v>
      </c>
      <c r="B14" s="21" t="s">
        <v>19</v>
      </c>
      <c r="C14" s="22">
        <f>42</f>
        <v>42</v>
      </c>
      <c r="D14" s="22">
        <f>概算汇总表!E14</f>
        <v>23.943223</v>
      </c>
      <c r="E14" s="23">
        <f t="shared" si="0"/>
        <v>-18.056777</v>
      </c>
      <c r="F14" s="18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</row>
    <row r="15" s="2" customFormat="1" ht="32" customHeight="1" spans="1:244">
      <c r="A15" s="10" t="s">
        <v>23</v>
      </c>
      <c r="B15" s="10" t="s">
        <v>24</v>
      </c>
      <c r="C15" s="11">
        <f>SUM(C16:C26)</f>
        <v>309.7</v>
      </c>
      <c r="D15" s="11">
        <f>概算汇总表!E15</f>
        <v>289.512276500975</v>
      </c>
      <c r="E15" s="11">
        <f t="shared" si="0"/>
        <v>-20.187723499025</v>
      </c>
      <c r="F15" s="18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</row>
    <row r="16" s="2" customFormat="1" ht="32" customHeight="1" spans="1:244">
      <c r="A16" s="24">
        <v>1</v>
      </c>
      <c r="B16" s="21" t="s">
        <v>62</v>
      </c>
      <c r="C16" s="25">
        <f>34.3</f>
        <v>34.3</v>
      </c>
      <c r="D16" s="23">
        <f>概算汇总表!E16</f>
        <v>22.1800569925</v>
      </c>
      <c r="E16" s="23">
        <f t="shared" ref="E15:E29" si="1">D16-C16</f>
        <v>-12.1199430075</v>
      </c>
      <c r="F16" s="18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</row>
    <row r="17" s="2" customFormat="1" ht="32" customHeight="1" spans="1:244">
      <c r="A17" s="24">
        <v>2</v>
      </c>
      <c r="B17" s="21" t="s">
        <v>28</v>
      </c>
      <c r="C17" s="25">
        <v>11.89</v>
      </c>
      <c r="D17" s="23">
        <f>概算汇总表!E17</f>
        <v>11.01062393685</v>
      </c>
      <c r="E17" s="23">
        <f t="shared" si="1"/>
        <v>-0.879376063150001</v>
      </c>
      <c r="F17" s="18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</row>
    <row r="18" s="2" customFormat="1" ht="32" customHeight="1" spans="1:244">
      <c r="A18" s="24">
        <v>3</v>
      </c>
      <c r="B18" s="21" t="s">
        <v>30</v>
      </c>
      <c r="C18" s="25">
        <v>64.69</v>
      </c>
      <c r="D18" s="23">
        <f>概算汇总表!E18</f>
        <v>63.250364708325</v>
      </c>
      <c r="E18" s="23">
        <f t="shared" si="1"/>
        <v>-1.439635291675</v>
      </c>
      <c r="F18" s="18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</row>
    <row r="19" s="2" customFormat="1" ht="32" customHeight="1" spans="1:244">
      <c r="A19" s="24">
        <v>4</v>
      </c>
      <c r="B19" s="21" t="s">
        <v>32</v>
      </c>
      <c r="C19" s="25">
        <v>79.52</v>
      </c>
      <c r="D19" s="23">
        <f>概算汇总表!E19</f>
        <v>91.5802469675</v>
      </c>
      <c r="E19" s="23">
        <f t="shared" si="1"/>
        <v>12.0602469675</v>
      </c>
      <c r="F19" s="18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</row>
    <row r="20" s="2" customFormat="1" ht="32" customHeight="1" spans="1:244">
      <c r="A20" s="24">
        <v>5</v>
      </c>
      <c r="B20" s="21" t="s">
        <v>34</v>
      </c>
      <c r="C20" s="25">
        <v>20.2</v>
      </c>
      <c r="D20" s="25">
        <f>概算汇总表!E20</f>
        <v>20.992060792</v>
      </c>
      <c r="E20" s="23">
        <f t="shared" si="1"/>
        <v>0.792060792000001</v>
      </c>
      <c r="F20" s="2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</row>
    <row r="21" s="2" customFormat="1" ht="32" customHeight="1" spans="1:244">
      <c r="A21" s="24">
        <v>6</v>
      </c>
      <c r="B21" s="21" t="s">
        <v>36</v>
      </c>
      <c r="C21" s="25">
        <v>11.59</v>
      </c>
      <c r="D21" s="25">
        <f>概算汇总表!E21</f>
        <v>11.9588281163</v>
      </c>
      <c r="E21" s="23">
        <f t="shared" si="1"/>
        <v>0.368828116300001</v>
      </c>
      <c r="F21" s="2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</row>
    <row r="22" s="2" customFormat="1" ht="32" customHeight="1" spans="1:244">
      <c r="A22" s="24">
        <v>7</v>
      </c>
      <c r="B22" s="21" t="s">
        <v>63</v>
      </c>
      <c r="C22" s="25">
        <v>10.34</v>
      </c>
      <c r="D22" s="25">
        <f>概算汇总表!E22</f>
        <v>10.6840265965</v>
      </c>
      <c r="E22" s="23">
        <f t="shared" si="1"/>
        <v>0.344026596500001</v>
      </c>
      <c r="F22" s="2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</row>
    <row r="23" s="2" customFormat="1" ht="32" customHeight="1" spans="1:244">
      <c r="A23" s="24">
        <v>8</v>
      </c>
      <c r="B23" s="21" t="s">
        <v>40</v>
      </c>
      <c r="C23" s="25">
        <v>30.3</v>
      </c>
      <c r="D23" s="25">
        <f>概算汇总表!E23</f>
        <v>15.744045594</v>
      </c>
      <c r="E23" s="23">
        <f t="shared" si="1"/>
        <v>-14.555954406</v>
      </c>
      <c r="F23" s="2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</row>
    <row r="24" s="2" customFormat="1" ht="32" customHeight="1" spans="1:244">
      <c r="A24" s="24">
        <v>9</v>
      </c>
      <c r="B24" s="21" t="s">
        <v>42</v>
      </c>
      <c r="C24" s="25">
        <v>12.62</v>
      </c>
      <c r="D24" s="25">
        <f>概算汇总表!E24</f>
        <v>7.872022797</v>
      </c>
      <c r="E24" s="23">
        <f t="shared" si="1"/>
        <v>-4.747977203</v>
      </c>
      <c r="F24" s="27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</row>
    <row r="25" s="2" customFormat="1" ht="32" customHeight="1" spans="1:244">
      <c r="A25" s="24">
        <v>10</v>
      </c>
      <c r="B25" s="21" t="s">
        <v>44</v>
      </c>
      <c r="C25" s="25">
        <v>25.25</v>
      </c>
      <c r="D25" s="25">
        <f>概算汇总表!E25</f>
        <v>25.25</v>
      </c>
      <c r="E25" s="23">
        <f t="shared" si="1"/>
        <v>0</v>
      </c>
      <c r="F25" s="27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</row>
    <row r="26" s="2" customFormat="1" ht="45" customHeight="1" spans="1:244">
      <c r="A26" s="24">
        <v>11</v>
      </c>
      <c r="B26" s="20" t="s">
        <v>46</v>
      </c>
      <c r="C26" s="25">
        <v>9</v>
      </c>
      <c r="D26" s="25">
        <f>概算汇总表!E26</f>
        <v>9</v>
      </c>
      <c r="E26" s="23">
        <f t="shared" si="1"/>
        <v>0</v>
      </c>
      <c r="F26" s="27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</row>
    <row r="27" s="2" customFormat="1" ht="32" customHeight="1" spans="1:244">
      <c r="A27" s="10" t="s">
        <v>64</v>
      </c>
      <c r="B27" s="10" t="s">
        <v>48</v>
      </c>
      <c r="C27" s="11">
        <f>C28</f>
        <v>226.47</v>
      </c>
      <c r="D27" s="28">
        <f>D28</f>
        <v>145.675993775049</v>
      </c>
      <c r="E27" s="11">
        <f t="shared" si="1"/>
        <v>-80.7940062249512</v>
      </c>
      <c r="F27" s="27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</row>
    <row r="28" s="3" customFormat="1" ht="32" customHeight="1" spans="1:244">
      <c r="A28" s="20">
        <v>1</v>
      </c>
      <c r="B28" s="20" t="s">
        <v>50</v>
      </c>
      <c r="C28" s="23">
        <v>226.47</v>
      </c>
      <c r="D28" s="23">
        <f>概算汇总表!E27</f>
        <v>145.675993775049</v>
      </c>
      <c r="E28" s="23">
        <f t="shared" si="1"/>
        <v>-80.7940062249512</v>
      </c>
      <c r="F28" s="1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</row>
    <row r="29" s="2" customFormat="1" ht="32" customHeight="1" spans="1:244">
      <c r="A29" s="10" t="s">
        <v>65</v>
      </c>
      <c r="B29" s="10" t="s">
        <v>53</v>
      </c>
      <c r="C29" s="11">
        <f>C5+C15+C27</f>
        <v>3061</v>
      </c>
      <c r="D29" s="17">
        <f>概算汇总表!E29</f>
        <v>3059.19586927602</v>
      </c>
      <c r="E29" s="11">
        <f t="shared" si="1"/>
        <v>-1.80413072397641</v>
      </c>
      <c r="F29" s="29">
        <f>E29/D29</f>
        <v>-0.000589740180449241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</row>
    <row r="30" ht="21" customHeight="1" spans="1:6">
      <c r="A30" s="30"/>
      <c r="B30" s="31"/>
      <c r="C30" s="31"/>
      <c r="D30" s="31"/>
      <c r="E30" s="31"/>
      <c r="F30" s="32"/>
    </row>
    <row r="31" ht="21" customHeight="1" spans="1:6">
      <c r="A31" s="33"/>
      <c r="B31" s="33"/>
      <c r="C31" s="33"/>
      <c r="D31" s="33"/>
      <c r="E31" s="33"/>
      <c r="F31" s="34"/>
    </row>
    <row r="32" ht="11.1" customHeight="1" spans="1:6">
      <c r="A32" s="33"/>
      <c r="B32" s="33"/>
      <c r="C32" s="33"/>
      <c r="D32" s="33"/>
      <c r="E32" s="33"/>
      <c r="F32" s="34"/>
    </row>
  </sheetData>
  <mergeCells count="6">
    <mergeCell ref="A1:F1"/>
    <mergeCell ref="A2:F2"/>
    <mergeCell ref="A3:A4"/>
    <mergeCell ref="B3:B4"/>
    <mergeCell ref="E3:E4"/>
    <mergeCell ref="F3:F4"/>
  </mergeCells>
  <printOptions horizontalCentered="1"/>
  <pageMargins left="0.200694444444444" right="0.200694444444444" top="0.428472222222222" bottom="0.590277777777778" header="0.279166666666667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概算汇总表</vt:lpstr>
      <vt:lpstr>对比表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beeca</dc:creator>
  <cp:lastModifiedBy>qzuser</cp:lastModifiedBy>
  <dcterms:created xsi:type="dcterms:W3CDTF">2021-06-17T03:01:00Z</dcterms:created>
  <dcterms:modified xsi:type="dcterms:W3CDTF">2024-03-12T03:06:51Z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2052-12.1.0.16364</vt:lpwstr>
  </property>
  <property fmtid="{D5CDD505-2E9C-101B-9397-08002B2CF9AE}" pid="3" name="ICV">
    <vt:lpwstr>0CC46E1615F144B0A4C2B0E68BFBC2C7_13</vt:lpwstr>
  </property>
</Properties>
</file>